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84" activeTab="0"/>
  </bookViews>
  <sheets>
    <sheet name="СВОД Общий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<sst xmlns="http://schemas.openxmlformats.org/spreadsheetml/2006/main" count="50" uniqueCount="48">
  <si>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Платные услуги</t>
  </si>
  <si>
    <t>ИТОГО</t>
  </si>
  <si>
    <t>ВСЕГО</t>
  </si>
  <si>
    <t>РАСХОДЫ ТЕКУЩИЕ</t>
  </si>
  <si>
    <t xml:space="preserve">З/П </t>
  </si>
  <si>
    <t xml:space="preserve">Начисления </t>
  </si>
  <si>
    <t xml:space="preserve">НДФЛ </t>
  </si>
  <si>
    <t>Добровольное пожертвование</t>
  </si>
  <si>
    <t>Проф.вз.и удержания</t>
  </si>
  <si>
    <t>Группа продленного дня</t>
  </si>
  <si>
    <t>Наименование Расхода</t>
  </si>
  <si>
    <t>Наименование Дохода</t>
  </si>
  <si>
    <t>Неустойка (пеня) по договору</t>
  </si>
  <si>
    <t>Регион-софт ООО</t>
  </si>
  <si>
    <t>Обслуживание турникета</t>
  </si>
  <si>
    <t>Доход за металлолом и макулатуру</t>
  </si>
  <si>
    <t>ОСТАТОК НА 1 Января 2021 г.</t>
  </si>
  <si>
    <t>ПОСТУПЛЕНИЕ ДЕНЕЖНЫХ СРЕДСТВ ПО ВНЕБЮДЖЕТУ МБОУ "Школа № 99" за 2021 год</t>
  </si>
  <si>
    <t>Контентная фильтрация</t>
  </si>
  <si>
    <t>Техническое обследование вентиляции</t>
  </si>
  <si>
    <t>Ремонт кабинетов</t>
  </si>
  <si>
    <t>Ростов официальный</t>
  </si>
  <si>
    <t>Штраф за ненадлежащее выполнение договора клининговой компанией</t>
  </si>
  <si>
    <t>Парта Героя для музея</t>
  </si>
  <si>
    <t>Вода и стаканчики одноразовые для ГПД</t>
  </si>
  <si>
    <t>Штраф Роспотребнадзор</t>
  </si>
  <si>
    <t>Гос.пошлина (Лицензия, аккредитация, ЕГРН)</t>
  </si>
  <si>
    <t>Монтаж системы "Электронный звонок"</t>
  </si>
  <si>
    <t>Оценка стоимости недвижимости для Праймериза</t>
  </si>
  <si>
    <t>Клининг</t>
  </si>
  <si>
    <t>Арендная плата "Единая Россия"</t>
  </si>
  <si>
    <t>Обучение сотрудников; участие в семинарах; фестивалях</t>
  </si>
  <si>
    <t>Поставка ламп, хоз.товаров, канцтоваров</t>
  </si>
  <si>
    <t>Поставка комплектующих для оргтехники</t>
  </si>
  <si>
    <t>Школьное питание в летнем лагере</t>
  </si>
  <si>
    <t>Пеня НДФЛ, ПФР, ОМС, ФСС</t>
  </si>
  <si>
    <t>Страхование гражданской ответственности за 2021 год</t>
  </si>
  <si>
    <t>Обрезка деревьев</t>
  </si>
  <si>
    <t>Учебники; Электронные учебники</t>
  </si>
  <si>
    <t>Баннер и флаг ко Дню Победы; ко Дню защиты детей; стенды на 1-й этаж</t>
  </si>
  <si>
    <t>Оценка профессиональных рисков</t>
  </si>
  <si>
    <t>Налог на землю и имущество за 3 кв. 2021 г.</t>
  </si>
  <si>
    <t>Электронные пособия по Обществознанию</t>
  </si>
  <si>
    <t>Диагностика оборудования</t>
  </si>
  <si>
    <t>СКЗИ "КриптоПро CSP"; Программное обеспечение</t>
  </si>
  <si>
    <t>Оборудование и учебные материалы для кабинета ОБЖ</t>
  </si>
  <si>
    <t>Питание в школьном лагере (КБК 150)</t>
  </si>
  <si>
    <t>ОСТАТОК НА 06.12.2021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</si>
</sst>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</numFmts>
  <fonts count="3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1" xfId="0" applyBorder="1" applyAlignment="1">
      <alignment wrapText="1"/>
    </xf>
    <xf numFmtId="4" fontId="0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33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47.28125" style="6" customWidth="1"/>
    <col min="2" max="4" width="14.28125" style="6" customWidth="1"/>
    <col min="5" max="9" width="14.28125" style="9" customWidth="1"/>
    <col min="10" max="11" width="12.57421875" style="9" customWidth="1"/>
    <col min="12" max="12" width="13.8515625" style="9" customWidth="1"/>
    <col min="13" max="13" width="14.28125" style="9" customWidth="1"/>
    <col min="14" max="14" width="14.28125" style="8" customWidth="1"/>
    <col min="15" max="15" width="6.7109375" style="6" customWidth="1"/>
    <col min="16" max="16384" width="9.140625" style="6" customWidth="1"/>
  </cols>
  <sheetData>
    <row r="1" spans="1:14" ht="12.75">
      <c r="A1" s="22" t="s">
        <v>16</v>
      </c>
      <c r="B1" s="23"/>
      <c r="C1" s="23"/>
      <c r="D1" s="23"/>
      <c r="E1" s="23"/>
      <c r="F1" s="23"/>
      <c r="G1" s="28"/>
      <c r="H1" s="28"/>
      <c r="I1" s="28"/>
      <c r="J1" s="28"/>
      <c r="K1" s="28"/>
      <c r="L1" s="28"/>
      <c r="M1" s="24"/>
      <c r="N1" s="5">
        <v>450214.36</v>
      </c>
    </row>
    <row r="3" spans="1:14" s="4" customFormat="1" ht="12.75" customHeight="1">
      <c r="A3" s="4" t="s">
        <v>17</v>
      </c>
      <c r="E3" s="7"/>
      <c r="F3" s="7"/>
      <c r="G3" s="7"/>
      <c r="H3" s="7"/>
      <c r="I3" s="7"/>
      <c r="J3" s="7"/>
      <c r="K3" s="7"/>
      <c r="L3" s="7"/>
      <c r="M3" s="7"/>
      <c r="N3" s="8"/>
    </row>
    <row r="4" ht="12.75" customHeight="1"/>
    <row r="5" spans="1:14" s="3" customFormat="1" ht="12.75">
      <c r="A5" s="10" t="s">
        <v>11</v>
      </c>
      <c r="B5" s="11">
        <v>44197</v>
      </c>
      <c r="C5" s="11">
        <v>44228</v>
      </c>
      <c r="D5" s="11">
        <v>44256</v>
      </c>
      <c r="E5" s="11">
        <v>44287</v>
      </c>
      <c r="F5" s="11">
        <v>44317</v>
      </c>
      <c r="G5" s="11">
        <v>44348</v>
      </c>
      <c r="H5" s="11">
        <v>44378</v>
      </c>
      <c r="I5" s="11">
        <v>44409</v>
      </c>
      <c r="J5" s="11">
        <v>44440</v>
      </c>
      <c r="K5" s="11">
        <v>44470</v>
      </c>
      <c r="L5" s="11">
        <v>44501</v>
      </c>
      <c r="M5" s="11">
        <v>44531</v>
      </c>
      <c r="N5" s="12" t="s">
        <v>1</v>
      </c>
    </row>
    <row r="6" spans="1:14" ht="12.75">
      <c r="A6" s="13" t="s">
        <v>0</v>
      </c>
      <c r="B6" s="14">
        <f>2430.24+2070.4+2430.24+1241.74+2+8277.6+36762.7+45118.22+42007.78-626.04</f>
        <v>139714.87999999998</v>
      </c>
      <c r="C6" s="14">
        <f>52043.8+28349.68+30419.99+29019.46+52507.05+70509.4+41344.03+40855.18+40345.8+36247.56+68399.69+54992.56+43174.4+22969.58+24050.38+11059.11+14212.56+14042.26+12375.54</f>
        <v>686918.03</v>
      </c>
      <c r="D6" s="14">
        <f>14649.79+8668.54+12831.89+17989.88+25247.28+35904.75+47882.06+47190.58+35814.93+30820.98+16831.68+15328.18+26768.34+22141.09+14669.31+4407.49+5711.67+4440.51+1729.41+11950.31+7174.23+4287.58</f>
        <v>412440.48</v>
      </c>
      <c r="E6" s="14">
        <f>10478.1+24463.75-620.82+64378.44+41397.1+40748.36+23632.87+31564.97+60839.91+30864.02+34304.03+32781.08+41931.86+28281.27+20146.97+15233.88+3517.98+11454.23+9640.13+2956.4+13585.97+4009.99+2793.69</f>
        <v>548384.1799999999</v>
      </c>
      <c r="F6" s="14">
        <f>7821.59+206.94+3361.47+2172.87+4321.27+13176.15+39438.13+10184.28-776.02-1552.05+17977.53+7386.04+12241.5+19761.82+17515.6+16848.46+36616.35+26149.35+7138</f>
        <v>239989.28</v>
      </c>
      <c r="G6" s="14">
        <f>6575.58+2039.82-1182.48-697.01+6693.69+1005.12+26791.56-414.6+12428.01+3726.56+2725.86+4351.86+2844.88+4544+1921.53+6514.27+414+591.24</f>
        <v>80873.89000000001</v>
      </c>
      <c r="H6" s="14"/>
      <c r="I6" s="14">
        <f>4138.8+4138.8+4138.8+4138.8</f>
        <v>16555.2</v>
      </c>
      <c r="J6" s="14">
        <f>8278.2+4138.8+4138.8+21935.64+25919.24+34663.4+27316.08+43818.24+50137.78+27722.36+18624.72+26642.82+14640.76+7657.8+16863+7967.19+12209.46+3000.63+6208.2+23488.02+4967.16+5380.44-5304.39-13138.78-10356.29-29047.85-19449.43-5304.39-12882.09-4294.03-2780-4544-3537.13</f>
        <v>285080.36</v>
      </c>
      <c r="K6" s="14">
        <f>9106.11+13761.51+16245.32+12839.1+15521.27+57728.01+100317.91+46404.64+34941.23+28247.32+36948.77-724.29+49665.1+17123.94+14072.4+13251.63+10064.49+13347.87+3879.47+1655.52+3932.57+9418.42</f>
        <v>507748.31</v>
      </c>
      <c r="L6" s="14">
        <f>12314.06+4035.33+10893.6+4243.51+724.29+17592.39+4189.23+18865.26+56370.69+24885.73+28108.79+22268.54+12850.92+33384.26+29768.66+21718.84+10222.56+14306.94+15144.73+13703.72</f>
        <v>355592.05</v>
      </c>
      <c r="M6" s="14">
        <f>13686.38+24565.4+20534.26+110312</f>
        <v>169098.03999999998</v>
      </c>
      <c r="N6" s="15">
        <f aca="true" t="shared" si="0" ref="N6:N14">SUM(B6:M6)</f>
        <v>3442394.7</v>
      </c>
    </row>
    <row r="7" spans="1:14" ht="12.75">
      <c r="A7" s="13" t="s">
        <v>9</v>
      </c>
      <c r="B7" s="14">
        <f>8138.7+11686.98+14085.9+4173.6+626.04</f>
        <v>38711.22</v>
      </c>
      <c r="C7" s="14">
        <f>6261.3+8660.22+5843.04+9077.58+10434+12877.4+1460.76+6990.78+9286.8+2921.52+2921.76+13231.74+4382.28+2060.38+2921.52+417.36</f>
        <v>99748.44000000002</v>
      </c>
      <c r="D7" s="14">
        <f>10729.84+3651.9+14125.14+8451.78+6573.42+5947.38+1773.78+3443.22+1460.76</f>
        <v>56157.219999999994</v>
      </c>
      <c r="E7" s="14">
        <f>12416.46+620.82+11413.62+8347.2+1356.42+6886.44+2295.48+14133.82+15281.02+9181.92+7682.1+4590.96+2295.48</f>
        <v>96501.74000000002</v>
      </c>
      <c r="F7" s="14">
        <f>3652.84+4591.24+4596.18+5008.32+7065.02+730.38+1669.44+834.72</f>
        <v>28148.140000000003</v>
      </c>
      <c r="G7" s="14"/>
      <c r="H7" s="14"/>
      <c r="I7" s="14">
        <f>1977.9</f>
        <v>1977.9</v>
      </c>
      <c r="J7" s="14">
        <f>3955.8+17801.1+13845.3+25712.7+23754.9+15823.2+23735.2+11241.9+2082+936.9+1977.9+1665.9+1977.9+208.2+2186.1</f>
        <v>146904.99999999997</v>
      </c>
      <c r="K7" s="14">
        <f>7703.4+14574+14886.3+6454.2+11555.1+36457.1+12285.1+16760.1+6537.1+8536.2+724.29+7703.4-1041+4268.1+1561.5+2186.1</f>
        <v>151150.99000000002</v>
      </c>
      <c r="L7" s="14">
        <f>1457.4+1457.4+7475.3+11242.7+11933.6-1041+7497.3+4060.9+936.9+2082+1873.8+1777.3+416.4+1457.4</f>
        <v>52627.400000000016</v>
      </c>
      <c r="M7" s="14">
        <f>6558.2+8015.8+6558.3+22070.1</f>
        <v>43202.399999999994</v>
      </c>
      <c r="N7" s="15">
        <f t="shared" si="0"/>
        <v>715130.4500000001</v>
      </c>
    </row>
    <row r="8" spans="1:14" ht="12.75">
      <c r="A8" s="13" t="s">
        <v>7</v>
      </c>
      <c r="B8" s="14">
        <f>5000</f>
        <v>5000</v>
      </c>
      <c r="C8" s="14">
        <f>5000</f>
        <v>5000</v>
      </c>
      <c r="D8" s="14">
        <v>5000</v>
      </c>
      <c r="E8" s="14">
        <v>5000</v>
      </c>
      <c r="F8" s="14">
        <v>5000</v>
      </c>
      <c r="G8" s="14">
        <v>10000</v>
      </c>
      <c r="H8" s="14">
        <f>12000+13000</f>
        <v>25000</v>
      </c>
      <c r="I8" s="14"/>
      <c r="J8" s="14">
        <f>2000+5000</f>
        <v>7000</v>
      </c>
      <c r="K8" s="14">
        <f>5000</f>
        <v>5000</v>
      </c>
      <c r="L8" s="14">
        <v>5000</v>
      </c>
      <c r="M8" s="14"/>
      <c r="N8" s="15">
        <f t="shared" si="0"/>
        <v>77000</v>
      </c>
    </row>
    <row r="9" spans="1:14" ht="14.25" customHeight="1">
      <c r="A9" s="13" t="s">
        <v>46</v>
      </c>
      <c r="B9" s="14"/>
      <c r="C9" s="14"/>
      <c r="D9" s="14"/>
      <c r="E9" s="14"/>
      <c r="F9" s="14"/>
      <c r="G9" s="14"/>
      <c r="H9" s="14"/>
      <c r="I9" s="14"/>
      <c r="J9" s="14">
        <f>5304.39+13138.78+10356.29+29047.85+19449.43+5304.39+12882.09+4294.03+2780+4544+3537.13</f>
        <v>110638.37999999999</v>
      </c>
      <c r="K9" s="14"/>
      <c r="L9" s="14"/>
      <c r="M9" s="14"/>
      <c r="N9" s="15">
        <f>SUM(B9:M9)</f>
        <v>110638.37999999999</v>
      </c>
    </row>
    <row r="10" spans="1:14" ht="27" customHeight="1">
      <c r="A10" s="16" t="s">
        <v>22</v>
      </c>
      <c r="B10" s="14"/>
      <c r="C10" s="14"/>
      <c r="D10" s="14">
        <f>12373.04</f>
        <v>12373.04</v>
      </c>
      <c r="E10" s="14"/>
      <c r="F10" s="14"/>
      <c r="G10" s="14"/>
      <c r="H10" s="14">
        <f>7213.95</f>
        <v>7213.95</v>
      </c>
      <c r="I10" s="14"/>
      <c r="J10" s="14"/>
      <c r="K10" s="14"/>
      <c r="L10" s="14"/>
      <c r="M10" s="14"/>
      <c r="N10" s="15">
        <f>SUM(B10:M10)</f>
        <v>19586.99</v>
      </c>
    </row>
    <row r="11" spans="1:14" ht="13.5" customHeight="1">
      <c r="A11" s="13" t="s">
        <v>12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>
        <f>SUM(B11:M11)</f>
        <v>0</v>
      </c>
    </row>
    <row r="12" spans="1:14" ht="13.5" customHeight="1">
      <c r="A12" s="13" t="s">
        <v>15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>
        <f>SUM(B12:M12)</f>
        <v>0</v>
      </c>
    </row>
    <row r="13" spans="1:14" ht="13.5" customHeight="1">
      <c r="A13" s="13" t="s">
        <v>30</v>
      </c>
      <c r="B13" s="14"/>
      <c r="C13" s="14"/>
      <c r="D13" s="14"/>
      <c r="E13" s="14"/>
      <c r="F13" s="14">
        <v>8088</v>
      </c>
      <c r="G13" s="14"/>
      <c r="H13" s="14"/>
      <c r="I13" s="14"/>
      <c r="J13" s="14"/>
      <c r="K13" s="14"/>
      <c r="L13" s="14"/>
      <c r="M13" s="14"/>
      <c r="N13" s="15">
        <f>SUM(B13:M13)</f>
        <v>8088</v>
      </c>
    </row>
    <row r="14" spans="1:14" ht="12.7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>
        <f t="shared" si="0"/>
        <v>0</v>
      </c>
    </row>
    <row r="15" spans="1:14" s="4" customFormat="1" ht="12.75">
      <c r="A15" s="17" t="s">
        <v>2</v>
      </c>
      <c r="B15" s="15">
        <f aca="true" t="shared" si="1" ref="B15:M15">SUM(B6:B14)</f>
        <v>183426.09999999998</v>
      </c>
      <c r="C15" s="15">
        <f t="shared" si="1"/>
        <v>791666.4700000001</v>
      </c>
      <c r="D15" s="15">
        <f t="shared" si="1"/>
        <v>485970.73999999993</v>
      </c>
      <c r="E15" s="15">
        <f t="shared" si="1"/>
        <v>649885.9199999999</v>
      </c>
      <c r="F15" s="15">
        <f t="shared" si="1"/>
        <v>281225.42</v>
      </c>
      <c r="G15" s="15">
        <f t="shared" si="1"/>
        <v>90873.89000000001</v>
      </c>
      <c r="H15" s="15">
        <f t="shared" si="1"/>
        <v>32213.95</v>
      </c>
      <c r="I15" s="15">
        <f t="shared" si="1"/>
        <v>18533.100000000002</v>
      </c>
      <c r="J15" s="15">
        <f t="shared" si="1"/>
        <v>549623.74</v>
      </c>
      <c r="K15" s="15">
        <f t="shared" si="1"/>
        <v>663899.3</v>
      </c>
      <c r="L15" s="15">
        <f t="shared" si="1"/>
        <v>413219.45</v>
      </c>
      <c r="M15" s="15">
        <f t="shared" si="1"/>
        <v>212300.43999999997</v>
      </c>
      <c r="N15" s="5">
        <f>SUM(N6:N14)</f>
        <v>4372838.5200000005</v>
      </c>
    </row>
    <row r="17" spans="1:14" s="4" customFormat="1" ht="12.75">
      <c r="A17" s="4" t="s">
        <v>3</v>
      </c>
      <c r="E17" s="7"/>
      <c r="F17" s="7"/>
      <c r="G17" s="7"/>
      <c r="H17" s="7"/>
      <c r="I17" s="7"/>
      <c r="J17" s="7"/>
      <c r="K17" s="7"/>
      <c r="L17" s="7"/>
      <c r="M17" s="7"/>
      <c r="N17" s="8"/>
    </row>
    <row r="18" ht="12.75" customHeight="1"/>
    <row r="19" spans="1:14" ht="12.75">
      <c r="A19" s="10" t="s">
        <v>10</v>
      </c>
      <c r="B19" s="11">
        <v>44197</v>
      </c>
      <c r="C19" s="11">
        <v>44228</v>
      </c>
      <c r="D19" s="11">
        <v>44256</v>
      </c>
      <c r="E19" s="11">
        <v>44287</v>
      </c>
      <c r="F19" s="11">
        <v>44317</v>
      </c>
      <c r="G19" s="11">
        <v>44348</v>
      </c>
      <c r="H19" s="11">
        <v>44378</v>
      </c>
      <c r="I19" s="11">
        <v>44409</v>
      </c>
      <c r="J19" s="11">
        <v>44440</v>
      </c>
      <c r="K19" s="11">
        <v>44470</v>
      </c>
      <c r="L19" s="11">
        <v>44501</v>
      </c>
      <c r="M19" s="11">
        <v>44531</v>
      </c>
      <c r="N19" s="12" t="s">
        <v>1</v>
      </c>
    </row>
    <row r="20" spans="1:14" ht="12.75">
      <c r="A20" s="13" t="s">
        <v>4</v>
      </c>
      <c r="B20" s="14">
        <f>30000</f>
        <v>30000</v>
      </c>
      <c r="C20" s="14">
        <f>140158.91+14663.16+30000</f>
        <v>184822.07</v>
      </c>
      <c r="D20" s="14">
        <f>127946.93+13803.07+5671.98+30000</f>
        <v>177421.98</v>
      </c>
      <c r="E20" s="14">
        <f>224085.45+10671.5+25000+92039.99+14655.46</f>
        <v>366452.4</v>
      </c>
      <c r="F20" s="14">
        <f>30000+18962.21+2833</f>
        <v>51795.21</v>
      </c>
      <c r="G20" s="14">
        <f>120034.29+13253.78+8477.56+30748.75+22682.28+132006.48</f>
        <v>327203.14</v>
      </c>
      <c r="H20" s="14">
        <f>21949.15+9265.57+10553</f>
        <v>41767.72</v>
      </c>
      <c r="I20" s="14">
        <f>17535.57+6180.87</f>
        <v>23716.44</v>
      </c>
      <c r="J20" s="14">
        <f>27598.26+6566.53+30000</f>
        <v>64164.79</v>
      </c>
      <c r="K20" s="14">
        <f>118939.98+31170.55+20000</f>
        <v>170110.53</v>
      </c>
      <c r="L20" s="14">
        <f>90174.9+31642.67+30000</f>
        <v>151817.57</v>
      </c>
      <c r="M20" s="14">
        <f>150747.32+33176.47</f>
        <v>183923.79</v>
      </c>
      <c r="N20" s="15">
        <f>SUM(B20:M20)</f>
        <v>1773195.6400000001</v>
      </c>
    </row>
    <row r="21" spans="1:14" ht="14.25" customHeight="1">
      <c r="A21" s="13" t="s">
        <v>6</v>
      </c>
      <c r="B21" s="14"/>
      <c r="C21" s="14">
        <f>20782+6584</f>
        <v>27366</v>
      </c>
      <c r="D21" s="14">
        <f>20782+6584+857</f>
        <v>28223</v>
      </c>
      <c r="E21" s="14">
        <f>32398+6244+13686+5817</f>
        <v>58145</v>
      </c>
      <c r="F21" s="14"/>
      <c r="G21" s="14">
        <f>7415+15232+1225+7066+24691</f>
        <v>55629</v>
      </c>
      <c r="H21" s="14">
        <f>2093+983+1576</f>
        <v>4652</v>
      </c>
      <c r="I21" s="14">
        <f>4623+1954</f>
        <v>6577</v>
      </c>
      <c r="J21" s="14">
        <f>3883</f>
        <v>3883</v>
      </c>
      <c r="K21" s="14">
        <f>18302+7324</f>
        <v>25626</v>
      </c>
      <c r="L21" s="14">
        <f>13048+7044</f>
        <v>20092</v>
      </c>
      <c r="M21" s="14">
        <f>23368+8161</f>
        <v>31529</v>
      </c>
      <c r="N21" s="15">
        <f aca="true" t="shared" si="2" ref="N21:N52">SUM(B21:M21)</f>
        <v>261722</v>
      </c>
    </row>
    <row r="22" spans="1:14" ht="15" customHeight="1">
      <c r="A22" s="13" t="s">
        <v>5</v>
      </c>
      <c r="B22" s="14"/>
      <c r="C22" s="14">
        <f>35644.77+11337.26+8263.07+2628.19+4698.6+1494.47+324.06+103.05</f>
        <v>64493.47</v>
      </c>
      <c r="D22" s="14">
        <f>32278.46+11115.69+7482.69+2576.83+4254.86+1465.26+293.46+101.05</f>
        <v>59568.30000000001</v>
      </c>
      <c r="E22" s="14">
        <f>58149.41+10217.43+13480.08+2368.58+7665.12+1346.84+528.64+92.88+23535.51+10057.17+5455.97+2331.46+3102.38+1325.71+213.97+184.31</f>
        <v>140055.45999999996</v>
      </c>
      <c r="F22" s="14"/>
      <c r="G22" s="14">
        <f>35326.52+10956.05+8189.35+2539.83+4656.68+1444.18+321.14+99.62+47657.15+10303.25+11047.82+2388.47+6282.11+1358.14+433.31+0.81</f>
        <v>143004.43</v>
      </c>
      <c r="H22" s="14"/>
      <c r="I22" s="14">
        <f>7842.58+3316.61+1818.05+768.85+1033.78+437.18+71.3+30.15</f>
        <v>15318.5</v>
      </c>
      <c r="J22" s="14">
        <f>6645.11+1666.82+1616.87+386.41+875.93+219.73+60.4+49.22</f>
        <v>11520.489999999998</v>
      </c>
      <c r="K22" s="14">
        <f>31152.2+12578.16+7221.62+2915.86+4106.42+1658.03+283.22+114.34</f>
        <v>60029.85</v>
      </c>
      <c r="L22" s="14">
        <f>22203.97+12467.91+5070.84+2890.29+2839.13+1618.15+201.87+79.28</f>
        <v>47371.44</v>
      </c>
      <c r="M22" s="14"/>
      <c r="N22" s="15">
        <f t="shared" si="2"/>
        <v>541361.94</v>
      </c>
    </row>
    <row r="23" spans="1:14" ht="15" customHeight="1">
      <c r="A23" s="13" t="s">
        <v>8</v>
      </c>
      <c r="B23" s="14"/>
      <c r="C23" s="14">
        <f>892.92+285.84</f>
        <v>1178.76</v>
      </c>
      <c r="D23" s="14">
        <f>788.22+275.76</f>
        <v>1063.98</v>
      </c>
      <c r="E23" s="14">
        <f>1499.13+259.1+1093.95+261.5</f>
        <v>3113.6800000000003</v>
      </c>
      <c r="F23" s="14"/>
      <c r="G23" s="14">
        <f>1051.64+244.34</f>
        <v>1295.98</v>
      </c>
      <c r="H23" s="14">
        <f>1090.59+336.01</f>
        <v>1426.6</v>
      </c>
      <c r="I23" s="14">
        <f>67.25+36.26</f>
        <v>103.50999999999999</v>
      </c>
      <c r="J23" s="14"/>
      <c r="K23" s="14">
        <f>771.41+166.98</f>
        <v>938.39</v>
      </c>
      <c r="L23" s="14">
        <f>656.55+220.56</f>
        <v>877.1099999999999</v>
      </c>
      <c r="M23" s="14"/>
      <c r="N23" s="15">
        <f t="shared" si="2"/>
        <v>9998.01</v>
      </c>
    </row>
    <row r="24" spans="1:14" ht="15" customHeight="1">
      <c r="A24" s="13" t="s">
        <v>14</v>
      </c>
      <c r="B24" s="14"/>
      <c r="C24" s="14">
        <f>15000+15000</f>
        <v>30000</v>
      </c>
      <c r="D24" s="14">
        <v>15000</v>
      </c>
      <c r="E24" s="14"/>
      <c r="F24" s="14"/>
      <c r="G24" s="14"/>
      <c r="H24" s="14"/>
      <c r="I24" s="14"/>
      <c r="J24" s="14"/>
      <c r="K24" s="14">
        <f>15000+15000+15000</f>
        <v>45000</v>
      </c>
      <c r="L24" s="14"/>
      <c r="M24" s="14">
        <f>15000+15000</f>
        <v>30000</v>
      </c>
      <c r="N24" s="15">
        <f t="shared" si="2"/>
        <v>120000</v>
      </c>
    </row>
    <row r="25" spans="1:14" ht="15" customHeight="1">
      <c r="A25" s="13" t="s">
        <v>13</v>
      </c>
      <c r="B25" s="14"/>
      <c r="C25" s="14"/>
      <c r="D25" s="14"/>
      <c r="E25" s="14"/>
      <c r="F25" s="14">
        <f>3575</f>
        <v>3575</v>
      </c>
      <c r="G25" s="14">
        <f>2600</f>
        <v>2600</v>
      </c>
      <c r="H25" s="14">
        <f>11700</f>
        <v>11700</v>
      </c>
      <c r="I25" s="14">
        <f>8125</f>
        <v>8125</v>
      </c>
      <c r="J25" s="14">
        <v>325</v>
      </c>
      <c r="K25" s="14">
        <f>3250</f>
        <v>3250</v>
      </c>
      <c r="L25" s="14">
        <f>4225</f>
        <v>4225</v>
      </c>
      <c r="M25" s="14"/>
      <c r="N25" s="15">
        <f t="shared" si="2"/>
        <v>33800</v>
      </c>
    </row>
    <row r="26" spans="1:14" ht="15" customHeight="1">
      <c r="A26" s="13" t="s">
        <v>18</v>
      </c>
      <c r="B26" s="14">
        <v>16200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>
        <f t="shared" si="2"/>
        <v>16200</v>
      </c>
    </row>
    <row r="27" spans="1:14" ht="15" customHeight="1">
      <c r="A27" s="13" t="s">
        <v>24</v>
      </c>
      <c r="B27" s="14">
        <v>2600</v>
      </c>
      <c r="C27" s="14"/>
      <c r="D27" s="14">
        <v>6600</v>
      </c>
      <c r="E27" s="14"/>
      <c r="F27" s="14"/>
      <c r="G27" s="14"/>
      <c r="H27" s="14"/>
      <c r="I27" s="14"/>
      <c r="J27" s="14"/>
      <c r="K27" s="14"/>
      <c r="L27" s="14"/>
      <c r="M27" s="14"/>
      <c r="N27" s="15">
        <f t="shared" si="2"/>
        <v>9200</v>
      </c>
    </row>
    <row r="28" spans="1:14" ht="15" customHeight="1">
      <c r="A28" s="13" t="s">
        <v>26</v>
      </c>
      <c r="B28" s="14">
        <f>3000+750</f>
        <v>3750</v>
      </c>
      <c r="C28" s="14"/>
      <c r="D28" s="14">
        <f>1000</f>
        <v>1000</v>
      </c>
      <c r="E28" s="14"/>
      <c r="F28" s="14"/>
      <c r="G28" s="14"/>
      <c r="H28" s="14"/>
      <c r="I28" s="14"/>
      <c r="J28" s="14"/>
      <c r="K28" s="14"/>
      <c r="L28" s="14">
        <v>1000</v>
      </c>
      <c r="M28" s="14"/>
      <c r="N28" s="15">
        <f t="shared" si="2"/>
        <v>5750</v>
      </c>
    </row>
    <row r="29" spans="1:14" ht="15" customHeight="1">
      <c r="A29" s="13" t="s">
        <v>35</v>
      </c>
      <c r="B29" s="14"/>
      <c r="C29" s="14"/>
      <c r="D29" s="14"/>
      <c r="E29" s="14"/>
      <c r="F29" s="14"/>
      <c r="G29" s="14">
        <f>258.66+165.9+62.82</f>
        <v>487.38000000000005</v>
      </c>
      <c r="H29" s="14">
        <f>304.62+114.41+237.08+24.61</f>
        <v>680.72</v>
      </c>
      <c r="I29" s="14"/>
      <c r="J29" s="14">
        <f>51.9</f>
        <v>51.9</v>
      </c>
      <c r="K29" s="14"/>
      <c r="L29" s="14"/>
      <c r="M29" s="14"/>
      <c r="N29" s="15">
        <f t="shared" si="2"/>
        <v>1220.0000000000002</v>
      </c>
    </row>
    <row r="30" spans="1:14" ht="18" customHeight="1">
      <c r="A30" s="13" t="s">
        <v>25</v>
      </c>
      <c r="B30" s="14"/>
      <c r="C30" s="14"/>
      <c r="D30" s="14">
        <f>30000</f>
        <v>30000</v>
      </c>
      <c r="E30" s="14"/>
      <c r="F30" s="14"/>
      <c r="G30" s="14"/>
      <c r="H30" s="14"/>
      <c r="I30" s="14"/>
      <c r="J30" s="14"/>
      <c r="K30" s="14"/>
      <c r="L30" s="14"/>
      <c r="M30" s="14"/>
      <c r="N30" s="15">
        <f>SUM(B30:M30)</f>
        <v>30000</v>
      </c>
    </row>
    <row r="31" spans="1:14" ht="18" customHeight="1">
      <c r="A31" s="13" t="s">
        <v>41</v>
      </c>
      <c r="B31" s="14"/>
      <c r="C31" s="14"/>
      <c r="D31" s="14"/>
      <c r="E31" s="14"/>
      <c r="F31" s="14"/>
      <c r="G31" s="14"/>
      <c r="H31" s="14"/>
      <c r="I31" s="14"/>
      <c r="J31" s="14"/>
      <c r="K31" s="14">
        <f>76473+51933</f>
        <v>128406</v>
      </c>
      <c r="L31" s="14"/>
      <c r="M31" s="14"/>
      <c r="N31" s="15">
        <f>SUM(B31:M31)</f>
        <v>128406</v>
      </c>
    </row>
    <row r="32" spans="1:14" ht="15" customHeight="1">
      <c r="A32" s="13" t="s">
        <v>19</v>
      </c>
      <c r="B32" s="14"/>
      <c r="C32" s="14">
        <v>11000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5">
        <f t="shared" si="2"/>
        <v>11000</v>
      </c>
    </row>
    <row r="33" spans="1:14" ht="15" customHeight="1">
      <c r="A33" s="13" t="s">
        <v>21</v>
      </c>
      <c r="B33" s="14"/>
      <c r="C33" s="14">
        <v>8000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5">
        <f t="shared" si="2"/>
        <v>8000</v>
      </c>
    </row>
    <row r="34" spans="1:14" ht="18" customHeight="1">
      <c r="A34" s="13" t="s">
        <v>20</v>
      </c>
      <c r="B34" s="14"/>
      <c r="C34" s="14">
        <f>250000</f>
        <v>250000</v>
      </c>
      <c r="D34" s="14">
        <v>242422</v>
      </c>
      <c r="E34" s="14"/>
      <c r="F34" s="14"/>
      <c r="G34" s="14"/>
      <c r="H34" s="14"/>
      <c r="I34" s="14"/>
      <c r="J34" s="14"/>
      <c r="K34" s="14"/>
      <c r="L34" s="14"/>
      <c r="M34" s="14"/>
      <c r="N34" s="15">
        <f t="shared" si="2"/>
        <v>492422</v>
      </c>
    </row>
    <row r="35" spans="1:14" ht="18" customHeight="1">
      <c r="A35" s="13" t="s">
        <v>43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>
        <f>2500</f>
        <v>2500</v>
      </c>
      <c r="M35" s="14"/>
      <c r="N35" s="15">
        <f t="shared" si="2"/>
        <v>2500</v>
      </c>
    </row>
    <row r="36" spans="1:14" ht="18" customHeight="1">
      <c r="A36" s="13" t="s">
        <v>31</v>
      </c>
      <c r="B36" s="14"/>
      <c r="C36" s="14">
        <v>5840</v>
      </c>
      <c r="D36" s="14">
        <f>31650+2000</f>
        <v>33650</v>
      </c>
      <c r="E36" s="14"/>
      <c r="F36" s="14"/>
      <c r="G36" s="14">
        <f>1500+7000</f>
        <v>8500</v>
      </c>
      <c r="H36" s="14"/>
      <c r="I36" s="14"/>
      <c r="J36" s="14"/>
      <c r="K36" s="14"/>
      <c r="L36" s="14"/>
      <c r="M36" s="14"/>
      <c r="N36" s="15">
        <f t="shared" si="2"/>
        <v>47990</v>
      </c>
    </row>
    <row r="37" spans="1:14" ht="18" customHeight="1">
      <c r="A37" s="13" t="s">
        <v>32</v>
      </c>
      <c r="B37" s="14"/>
      <c r="C37" s="14">
        <f>10000</f>
        <v>10000</v>
      </c>
      <c r="D37" s="14">
        <f>48780</f>
        <v>48780</v>
      </c>
      <c r="E37" s="14"/>
      <c r="F37" s="14"/>
      <c r="G37" s="14">
        <f>28728</f>
        <v>28728</v>
      </c>
      <c r="H37" s="14"/>
      <c r="I37" s="14">
        <v>2021</v>
      </c>
      <c r="J37" s="14"/>
      <c r="K37" s="14"/>
      <c r="L37" s="14"/>
      <c r="M37" s="14">
        <v>2750</v>
      </c>
      <c r="N37" s="15">
        <f t="shared" si="2"/>
        <v>92279</v>
      </c>
    </row>
    <row r="38" spans="1:14" ht="18" customHeight="1">
      <c r="A38" s="13" t="s">
        <v>33</v>
      </c>
      <c r="B38" s="14"/>
      <c r="C38" s="14"/>
      <c r="D38" s="14"/>
      <c r="E38" s="14"/>
      <c r="F38" s="14"/>
      <c r="G38" s="14">
        <v>11380</v>
      </c>
      <c r="H38" s="14"/>
      <c r="I38" s="14"/>
      <c r="J38" s="14"/>
      <c r="K38" s="14"/>
      <c r="L38" s="14"/>
      <c r="M38" s="14"/>
      <c r="N38" s="15">
        <f t="shared" si="2"/>
        <v>11380</v>
      </c>
    </row>
    <row r="39" spans="1:14" ht="18" customHeight="1">
      <c r="A39" s="13" t="s">
        <v>23</v>
      </c>
      <c r="B39" s="14"/>
      <c r="C39" s="14"/>
      <c r="D39" s="14">
        <v>2503</v>
      </c>
      <c r="E39" s="14"/>
      <c r="F39" s="14"/>
      <c r="G39" s="14"/>
      <c r="H39" s="14"/>
      <c r="I39" s="14"/>
      <c r="J39" s="14"/>
      <c r="K39" s="14"/>
      <c r="L39" s="14"/>
      <c r="M39" s="14"/>
      <c r="N39" s="15">
        <f t="shared" si="2"/>
        <v>2503</v>
      </c>
    </row>
    <row r="40" spans="1:14" ht="18" customHeight="1">
      <c r="A40" s="13" t="s">
        <v>44</v>
      </c>
      <c r="B40" s="14"/>
      <c r="C40" s="14"/>
      <c r="D40" s="14">
        <f>2700</f>
        <v>2700</v>
      </c>
      <c r="E40" s="14"/>
      <c r="F40" s="14"/>
      <c r="G40" s="14"/>
      <c r="H40" s="14"/>
      <c r="I40" s="14"/>
      <c r="J40" s="14"/>
      <c r="K40" s="14"/>
      <c r="L40" s="14">
        <v>11400</v>
      </c>
      <c r="M40" s="14"/>
      <c r="N40" s="15">
        <f t="shared" si="2"/>
        <v>14100</v>
      </c>
    </row>
    <row r="41" spans="1:14" ht="18" customHeight="1">
      <c r="A41" s="13" t="s">
        <v>27</v>
      </c>
      <c r="B41" s="14"/>
      <c r="C41" s="14"/>
      <c r="D41" s="14">
        <v>50000</v>
      </c>
      <c r="E41" s="14"/>
      <c r="F41" s="14"/>
      <c r="G41" s="14"/>
      <c r="H41" s="14"/>
      <c r="I41" s="14"/>
      <c r="J41" s="14"/>
      <c r="K41" s="14"/>
      <c r="L41" s="14"/>
      <c r="M41" s="14"/>
      <c r="N41" s="15">
        <f t="shared" si="2"/>
        <v>50000</v>
      </c>
    </row>
    <row r="42" spans="1:14" ht="18" customHeight="1">
      <c r="A42" s="13" t="s">
        <v>39</v>
      </c>
      <c r="B42" s="14"/>
      <c r="C42" s="14"/>
      <c r="D42" s="14"/>
      <c r="E42" s="14">
        <f>10623</f>
        <v>10623</v>
      </c>
      <c r="F42" s="14"/>
      <c r="G42" s="14">
        <v>2920</v>
      </c>
      <c r="H42" s="14"/>
      <c r="I42" s="14"/>
      <c r="J42" s="14">
        <f>68400</f>
        <v>68400</v>
      </c>
      <c r="K42" s="14"/>
      <c r="L42" s="14"/>
      <c r="M42" s="14"/>
      <c r="N42" s="15">
        <f t="shared" si="2"/>
        <v>81943</v>
      </c>
    </row>
    <row r="43" spans="1:14" ht="18" customHeight="1">
      <c r="A43" s="13" t="s">
        <v>38</v>
      </c>
      <c r="B43" s="14"/>
      <c r="C43" s="14"/>
      <c r="D43" s="14"/>
      <c r="E43" s="14">
        <f>19096+6000</f>
        <v>25096</v>
      </c>
      <c r="F43" s="14"/>
      <c r="G43" s="14"/>
      <c r="H43" s="14"/>
      <c r="I43" s="14"/>
      <c r="J43" s="14">
        <v>7386.25</v>
      </c>
      <c r="K43" s="14"/>
      <c r="L43" s="14"/>
      <c r="M43" s="14">
        <f>4711.47</f>
        <v>4711.47</v>
      </c>
      <c r="N43" s="15">
        <f t="shared" si="2"/>
        <v>37193.72</v>
      </c>
    </row>
    <row r="44" spans="1:14" ht="18" customHeight="1">
      <c r="A44" s="13" t="s">
        <v>28</v>
      </c>
      <c r="B44" s="14"/>
      <c r="C44" s="14"/>
      <c r="D44" s="14"/>
      <c r="E44" s="14">
        <f>5000</f>
        <v>5000</v>
      </c>
      <c r="F44" s="14"/>
      <c r="G44" s="14"/>
      <c r="H44" s="14"/>
      <c r="I44" s="14"/>
      <c r="J44" s="14"/>
      <c r="K44" s="14"/>
      <c r="L44" s="14"/>
      <c r="M44" s="14"/>
      <c r="N44" s="15">
        <f t="shared" si="2"/>
        <v>5000</v>
      </c>
    </row>
    <row r="45" spans="1:14" ht="18" customHeight="1">
      <c r="A45" s="13" t="s">
        <v>29</v>
      </c>
      <c r="B45" s="14"/>
      <c r="C45" s="14"/>
      <c r="D45" s="14"/>
      <c r="E45" s="14"/>
      <c r="F45" s="14">
        <f>16314.8</f>
        <v>16314.8</v>
      </c>
      <c r="G45" s="14">
        <f>103420</f>
        <v>103420</v>
      </c>
      <c r="H45" s="14">
        <f>41432</f>
        <v>41432</v>
      </c>
      <c r="I45" s="14"/>
      <c r="J45" s="14"/>
      <c r="K45" s="14"/>
      <c r="L45" s="14">
        <f>150000+10000</f>
        <v>160000</v>
      </c>
      <c r="M45" s="14"/>
      <c r="N45" s="15">
        <f t="shared" si="2"/>
        <v>321166.8</v>
      </c>
    </row>
    <row r="46" spans="1:14" ht="18" customHeight="1">
      <c r="A46" s="13" t="s">
        <v>34</v>
      </c>
      <c r="B46" s="14"/>
      <c r="C46" s="14"/>
      <c r="D46" s="14"/>
      <c r="E46" s="14"/>
      <c r="F46" s="14"/>
      <c r="G46" s="14">
        <f>30000+80634.42</f>
        <v>110634.42</v>
      </c>
      <c r="H46" s="14"/>
      <c r="I46" s="14"/>
      <c r="J46" s="14"/>
      <c r="K46" s="14"/>
      <c r="L46" s="14"/>
      <c r="M46" s="14"/>
      <c r="N46" s="15">
        <f t="shared" si="2"/>
        <v>110634.42</v>
      </c>
    </row>
    <row r="47" spans="1:14" ht="18" customHeight="1">
      <c r="A47" s="13" t="s">
        <v>36</v>
      </c>
      <c r="B47" s="14"/>
      <c r="C47" s="14"/>
      <c r="D47" s="14"/>
      <c r="E47" s="14"/>
      <c r="F47" s="14"/>
      <c r="G47" s="14"/>
      <c r="H47" s="14">
        <f>5000</f>
        <v>5000</v>
      </c>
      <c r="I47" s="14"/>
      <c r="J47" s="14"/>
      <c r="K47" s="14"/>
      <c r="L47" s="14"/>
      <c r="M47" s="14"/>
      <c r="N47" s="15">
        <f t="shared" si="2"/>
        <v>5000</v>
      </c>
    </row>
    <row r="48" spans="1:14" ht="18" customHeight="1">
      <c r="A48" s="13" t="s">
        <v>37</v>
      </c>
      <c r="B48" s="14"/>
      <c r="C48" s="14"/>
      <c r="D48" s="14"/>
      <c r="E48" s="14"/>
      <c r="F48" s="14"/>
      <c r="G48" s="14"/>
      <c r="H48" s="14"/>
      <c r="I48" s="14">
        <f>40000</f>
        <v>40000</v>
      </c>
      <c r="J48" s="14"/>
      <c r="K48" s="14"/>
      <c r="L48" s="14"/>
      <c r="M48" s="14"/>
      <c r="N48" s="15">
        <f t="shared" si="2"/>
        <v>40000</v>
      </c>
    </row>
    <row r="49" spans="1:14" ht="18" customHeight="1">
      <c r="A49" s="13" t="s">
        <v>40</v>
      </c>
      <c r="B49" s="14"/>
      <c r="C49" s="14"/>
      <c r="D49" s="14"/>
      <c r="E49" s="14"/>
      <c r="F49" s="14"/>
      <c r="G49" s="14"/>
      <c r="H49" s="14"/>
      <c r="I49" s="14"/>
      <c r="J49" s="14">
        <v>21500</v>
      </c>
      <c r="K49" s="14"/>
      <c r="L49" s="14"/>
      <c r="M49" s="14"/>
      <c r="N49" s="15">
        <f t="shared" si="2"/>
        <v>21500</v>
      </c>
    </row>
    <row r="50" spans="1:14" ht="18" customHeight="1">
      <c r="A50" s="13" t="s">
        <v>42</v>
      </c>
      <c r="B50" s="14"/>
      <c r="C50" s="14"/>
      <c r="D50" s="14"/>
      <c r="E50" s="14"/>
      <c r="F50" s="14"/>
      <c r="G50" s="14"/>
      <c r="H50" s="14"/>
      <c r="I50" s="14"/>
      <c r="J50" s="14"/>
      <c r="K50" s="14">
        <v>10000</v>
      </c>
      <c r="L50" s="14"/>
      <c r="M50" s="14"/>
      <c r="N50" s="15">
        <f t="shared" si="2"/>
        <v>10000</v>
      </c>
    </row>
    <row r="51" spans="1:14" ht="18" customHeight="1">
      <c r="A51" s="13" t="s">
        <v>45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>
        <v>263445.59</v>
      </c>
      <c r="N51" s="15">
        <f t="shared" si="2"/>
        <v>263445.59</v>
      </c>
    </row>
    <row r="52" spans="1:14" ht="12.75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>
        <f t="shared" si="2"/>
        <v>0</v>
      </c>
    </row>
    <row r="53" spans="1:14" s="4" customFormat="1" ht="17.25" customHeight="1">
      <c r="A53" s="17" t="s">
        <v>2</v>
      </c>
      <c r="B53" s="15">
        <f aca="true" t="shared" si="3" ref="B53:N53">SUM(B20:B52)</f>
        <v>52550</v>
      </c>
      <c r="C53" s="15">
        <f t="shared" si="3"/>
        <v>592700.3</v>
      </c>
      <c r="D53" s="15">
        <f t="shared" si="3"/>
        <v>698932.26</v>
      </c>
      <c r="E53" s="15">
        <f t="shared" si="3"/>
        <v>608485.54</v>
      </c>
      <c r="F53" s="15">
        <f t="shared" si="3"/>
        <v>71685.01</v>
      </c>
      <c r="G53" s="15">
        <f t="shared" si="3"/>
        <v>795802.3500000001</v>
      </c>
      <c r="H53" s="15">
        <f t="shared" si="3"/>
        <v>106659.04000000001</v>
      </c>
      <c r="I53" s="15">
        <f t="shared" si="3"/>
        <v>95861.45000000001</v>
      </c>
      <c r="J53" s="15">
        <f t="shared" si="3"/>
        <v>177231.43</v>
      </c>
      <c r="K53" s="15">
        <f t="shared" si="3"/>
        <v>443360.77</v>
      </c>
      <c r="L53" s="15">
        <f t="shared" si="3"/>
        <v>399283.12</v>
      </c>
      <c r="M53" s="15">
        <f t="shared" si="3"/>
        <v>516359.85000000003</v>
      </c>
      <c r="N53" s="5">
        <f t="shared" si="3"/>
        <v>4558911.12</v>
      </c>
    </row>
    <row r="55" spans="1:14" ht="18.75" customHeight="1">
      <c r="A55" s="25" t="s">
        <v>47</v>
      </c>
      <c r="B55" s="26"/>
      <c r="C55" s="26"/>
      <c r="D55" s="26"/>
      <c r="E55" s="26"/>
      <c r="F55" s="27"/>
      <c r="G55" s="18"/>
      <c r="H55" s="18"/>
      <c r="I55" s="18"/>
      <c r="J55" s="18"/>
      <c r="K55" s="18"/>
      <c r="L55" s="18"/>
      <c r="M55" s="18"/>
      <c r="N55" s="5">
        <f>N15-N53+N1</f>
        <v>264141.76000000036</v>
      </c>
    </row>
    <row r="57" spans="13:15" ht="17.25" customHeight="1">
      <c r="M57" s="20"/>
      <c r="N57" s="7"/>
      <c r="O57" s="19"/>
    </row>
    <row r="58" spans="5:15" s="1" customFormat="1" ht="17.25" customHeight="1">
      <c r="E58" s="2"/>
      <c r="F58" s="2"/>
      <c r="G58" s="2"/>
      <c r="H58" s="2"/>
      <c r="I58" s="2"/>
      <c r="J58" s="2"/>
      <c r="K58" s="2"/>
      <c r="L58" s="2"/>
      <c r="M58" s="20"/>
      <c r="N58" s="7"/>
      <c r="O58" s="19"/>
    </row>
    <row r="59" spans="13:15" ht="17.25" customHeight="1">
      <c r="M59" s="20"/>
      <c r="N59" s="7"/>
      <c r="O59" s="19"/>
    </row>
    <row r="60" spans="13:15" ht="17.25" customHeight="1">
      <c r="M60" s="20"/>
      <c r="N60" s="7"/>
      <c r="O60" s="19"/>
    </row>
    <row r="61" spans="13:14" ht="12.75">
      <c r="M61" s="21"/>
      <c r="N61" s="9"/>
    </row>
    <row r="62" spans="13:14" ht="12.75">
      <c r="M62" s="20"/>
      <c r="N62" s="7"/>
    </row>
    <row r="64" ht="12.75">
      <c r="N64" s="7"/>
    </row>
  </sheetData>
  <sheetProtection/>
  <mergeCells count="2">
    <mergeCell ref="A55:F55"/>
    <mergeCell ref="A1:M1"/>
  </mergeCells>
  <printOptions/>
  <pageMargins left="0.17" right="0.17" top="0.18" bottom="0.16" header="0.17" footer="0.16"/>
  <pageSetup fitToHeight="1" fitToWidth="1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2021-12-03T11:16:02Z</cp:lastPrinted>
  <dcterms:created xsi:type="dcterms:W3CDTF">1996-10-08T23:32:33Z</dcterms:created>
  <dcterms:modified xsi:type="dcterms:W3CDTF">2021-12-08T06:13:38Z</dcterms:modified>
  <cp:category/>
  <cp:version/>
  <cp:contentType/>
  <cp:contentStatus/>
</cp:coreProperties>
</file>